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9.22公示\新建文件夹\"/>
    </mc:Choice>
  </mc:AlternateContent>
  <bookViews>
    <workbookView windowWidth="28800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<sst xmlns="http://schemas.openxmlformats.org/spreadsheetml/2006/main" count="43" uniqueCount="40">
  <si>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盂县孙家庄镇东坪村、乌玉村2026年农业农村基础设施以工代赈项目总概算表</t>
  </si>
  <si>
    <t>序号</t>
  </si>
  <si>
    <t>工程或费用名称</t>
  </si>
  <si>
    <t>概算投资（万元）</t>
  </si>
  <si>
    <t>经济技术指标</t>
  </si>
  <si>
    <t>占总投资比例（%）</t>
  </si>
  <si>
    <t>其中：劳务报酬金额（万元）</t>
  </si>
  <si>
    <t>劳务报酬占申报中央预算内资金比例（%）</t>
  </si>
  <si>
    <t>备注</t>
  </si>
  <si>
    <t>建筑工程</t>
  </si>
  <si>
    <t>安装工程</t>
  </si>
  <si>
    <t>设备购置</t>
  </si>
  <si>
    <t>其他费用</t>
  </si>
  <si>
    <t>合计</t>
  </si>
  <si>
    <t>单位</t>
  </si>
  <si>
    <t>数量</t>
  </si>
  <si>
    <t>单位造价（元）</t>
  </si>
  <si>
    <t>一</t>
  </si>
  <si>
    <t>工程费用</t>
  </si>
  <si>
    <t>东坪村道路硬化</t>
  </si>
  <si>
    <t>㎡</t>
  </si>
  <si>
    <t>乌玉村道路硬化</t>
  </si>
  <si>
    <t>乌玉村污水管网</t>
  </si>
  <si>
    <t>m</t>
  </si>
  <si>
    <t>乌玉村检查井</t>
  </si>
  <si>
    <t>个</t>
  </si>
  <si>
    <t>乌玉村100m³污水井</t>
  </si>
  <si>
    <t>乌玉村300m³污水井</t>
  </si>
  <si>
    <t>特殊用工</t>
  </si>
  <si>
    <t>二</t>
  </si>
  <si>
    <t>工程建设其他费用</t>
  </si>
  <si>
    <t>建设单位管理费</t>
  </si>
  <si>
    <t>勘察费</t>
  </si>
  <si>
    <t>设计费</t>
  </si>
  <si>
    <t>监理费</t>
  </si>
  <si>
    <t>可研报告编制费</t>
  </si>
  <si>
    <t>造价咨询费</t>
  </si>
  <si>
    <t>三</t>
  </si>
  <si>
    <t>预备费</t>
  </si>
  <si>
    <t>项目总投资（一+二+三）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</si>
</sst>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华文仿宋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0" fontId="4" fillId="0" borderId="4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0" fontId="3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02;&#21457;&#25913;&#21457;&#12308;2026&#12309;35&#21495;%20&#38468;&#20214;%20&#23385;&#23478;&#24196;&#27010;&#3163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概算表"/>
      <sheetName val="用工需求及劳务报酬测算表"/>
      <sheetName val="以工代赈主要工程量测算表"/>
      <sheetName val="Sheet1"/>
    </sheetNames>
    <sheetDataSet>
      <sheetData sheetId="0"/>
      <sheetData sheetId="1">
        <row r="3">
          <cell r="F3">
            <v>25.92</v>
          </cell>
        </row>
        <row r="4">
          <cell r="F4">
            <v>45.36</v>
          </cell>
        </row>
        <row r="5">
          <cell r="F5">
            <v>46.64</v>
          </cell>
        </row>
        <row r="6">
          <cell r="F6">
            <v>124.545</v>
          </cell>
        </row>
        <row r="7">
          <cell r="F7">
            <v>87.09</v>
          </cell>
        </row>
        <row r="8">
          <cell r="F8">
            <v>1.2</v>
          </cell>
        </row>
        <row r="9">
          <cell r="F9">
            <v>13.12</v>
          </cell>
        </row>
        <row r="10">
          <cell r="F10">
            <v>1.24</v>
          </cell>
        </row>
        <row r="11">
          <cell r="F11">
            <v>22.82</v>
          </cell>
        </row>
        <row r="12">
          <cell r="F12">
            <v>25.42</v>
          </cell>
        </row>
        <row r="13">
          <cell r="F13">
            <v>9.14</v>
          </cell>
        </row>
        <row r="14">
          <cell r="F14">
            <v>8.73</v>
          </cell>
        </row>
        <row r="15">
          <cell r="F15">
            <v>0.8</v>
          </cell>
        </row>
        <row r="16">
          <cell r="F16">
            <v>0.86</v>
          </cell>
        </row>
        <row r="17">
          <cell r="F17">
            <v>0.36</v>
          </cell>
        </row>
        <row r="18">
          <cell r="F18">
            <v>0.32</v>
          </cell>
        </row>
        <row r="19">
          <cell r="F19">
            <v>0.02</v>
          </cell>
        </row>
        <row r="20">
          <cell r="F20">
            <v>0.96</v>
          </cell>
        </row>
        <row r="21">
          <cell r="F21">
            <v>2.4</v>
          </cell>
        </row>
        <row r="22">
          <cell r="F22">
            <v>1.76</v>
          </cell>
        </row>
        <row r="23">
          <cell r="F23">
            <v>0.8</v>
          </cell>
        </row>
        <row r="24">
          <cell r="F24">
            <v>0.68</v>
          </cell>
        </row>
        <row r="25">
          <cell r="F25">
            <v>0.06</v>
          </cell>
        </row>
        <row r="26">
          <cell r="F26">
            <v>2.55</v>
          </cell>
        </row>
        <row r="27">
          <cell r="F27">
            <v>3.9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R14" sqref="R14"/>
    </sheetView>
  </sheetViews>
  <sheetFormatPr defaultColWidth="8.8" defaultRowHeight="14.25"/>
  <cols>
    <col min="1" max="1" width="8.8" style="1"/>
    <col min="2" max="2" width="13.1" style="1" customWidth="1"/>
    <col min="3" max="6" width="8.8" style="1"/>
    <col min="7" max="7" width="10.5" style="1"/>
    <col min="8" max="11" width="12.8" style="1"/>
    <col min="12" max="12" width="8.8" style="1"/>
    <col min="13" max="13" width="11.5" style="1"/>
    <col min="14" max="16384" width="8.8" style="1"/>
  </cols>
  <sheetData>
    <row r="1" ht="3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ht="25" customHeight="1" spans="1:14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6" t="s">
        <v>4</v>
      </c>
      <c r="I2" s="7"/>
      <c r="J2" s="8"/>
      <c r="K2" s="5" t="s">
        <v>5</v>
      </c>
      <c r="L2" s="5" t="s">
        <v>6</v>
      </c>
      <c r="M2" s="5" t="s">
        <v>7</v>
      </c>
      <c r="N2" s="9" t="s">
        <v>8</v>
      </c>
    </row>
    <row r="3" s="1" customFormat="1" ht="25" customHeight="1" spans="1:14">
      <c r="A3" s="5"/>
      <c r="B3" s="5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/>
      <c r="L3" s="5"/>
      <c r="M3" s="5"/>
      <c r="N3" s="9"/>
    </row>
    <row r="4" s="1" customFormat="1" ht="25" customHeight="1" spans="1:14">
      <c r="A4" s="5" t="s">
        <v>17</v>
      </c>
      <c r="B4" s="5" t="s">
        <v>18</v>
      </c>
      <c r="C4" s="10">
        <v>788.86</v>
      </c>
      <c r="D4" s="10">
        <v>140.69</v>
      </c>
      <c r="E4" s="10"/>
      <c r="F4" s="10"/>
      <c r="G4" s="10">
        <f>C4+D4</f>
        <v>929.55</v>
      </c>
      <c r="H4" s="11"/>
      <c r="I4" s="11"/>
      <c r="J4" s="11"/>
      <c r="K4" s="11">
        <f>G4/998</f>
        <v>0.931412825651303</v>
      </c>
      <c r="L4" s="10">
        <f>L5+L6+L7+L8+L9+L10+L11</f>
        <v>426.695</v>
      </c>
      <c r="M4" s="12">
        <f>L4/799</f>
        <v>0.534036295369211</v>
      </c>
      <c r="N4" s="9"/>
    </row>
    <row r="5" s="1" customFormat="1" ht="25" customHeight="1" spans="1:14">
      <c r="A5" s="13">
        <v>1</v>
      </c>
      <c r="B5" s="13" t="s">
        <v>19</v>
      </c>
      <c r="C5" s="14">
        <v>156.45</v>
      </c>
      <c r="D5" s="14"/>
      <c r="E5" s="14"/>
      <c r="F5" s="14"/>
      <c r="G5" s="10">
        <f t="shared" ref="G5:G10" si="0">C5+D5+E5</f>
        <v>156.45</v>
      </c>
      <c r="H5" s="11" t="s">
        <v>20</v>
      </c>
      <c r="I5" s="14">
        <v>8000</v>
      </c>
      <c r="J5" s="14">
        <v>195.5625</v>
      </c>
      <c r="K5" s="11"/>
      <c r="L5" s="14">
        <f>[1]用工需求及劳务报酬测算表!F3+[1]用工需求及劳务报酬测算表!F4</f>
        <v>71.28</v>
      </c>
      <c r="M5" s="12"/>
      <c r="N5" s="15"/>
    </row>
    <row r="6" s="1" customFormat="1" ht="25" customHeight="1" spans="1:14">
      <c r="A6" s="13">
        <v>2</v>
      </c>
      <c r="B6" s="13" t="s">
        <v>21</v>
      </c>
      <c r="C6" s="14">
        <v>386.25</v>
      </c>
      <c r="D6" s="14"/>
      <c r="E6" s="14"/>
      <c r="F6" s="14"/>
      <c r="G6" s="10">
        <f t="shared" si="0"/>
        <v>386.25</v>
      </c>
      <c r="H6" s="11" t="s">
        <v>20</v>
      </c>
      <c r="I6" s="14">
        <v>19750</v>
      </c>
      <c r="J6" s="14">
        <v>195.569620253165</v>
      </c>
      <c r="K6" s="11"/>
      <c r="L6" s="14">
        <f>[1]用工需求及劳务报酬测算表!F5+[1]用工需求及劳务报酬测算表!F6</f>
        <v>171.185</v>
      </c>
      <c r="M6" s="12"/>
      <c r="N6" s="15"/>
    </row>
    <row r="7" s="1" customFormat="1" ht="25" customHeight="1" spans="1:14">
      <c r="A7" s="13">
        <v>3</v>
      </c>
      <c r="B7" s="13" t="s">
        <v>22</v>
      </c>
      <c r="C7" s="14">
        <f>215.12*0.6</f>
        <v>129.072</v>
      </c>
      <c r="D7" s="14">
        <f>215.12*0.4</f>
        <v>86.048</v>
      </c>
      <c r="E7" s="14"/>
      <c r="F7" s="14"/>
      <c r="G7" s="10">
        <f t="shared" si="0"/>
        <v>215.12</v>
      </c>
      <c r="H7" s="11" t="s">
        <v>23</v>
      </c>
      <c r="I7" s="14">
        <v>7449</v>
      </c>
      <c r="J7" s="14">
        <v>288.790441670023</v>
      </c>
      <c r="K7" s="11"/>
      <c r="L7" s="14">
        <f>[1]用工需求及劳务报酬测算表!F7+[1]用工需求及劳务报酬测算表!F8+[1]用工需求及劳务报酬测算表!F9</f>
        <v>101.41</v>
      </c>
      <c r="M7" s="12"/>
      <c r="N7" s="15"/>
    </row>
    <row r="8" s="1" customFormat="1" ht="25" customHeight="1" spans="1:14">
      <c r="A8" s="13">
        <v>4</v>
      </c>
      <c r="B8" s="13" t="s">
        <v>24</v>
      </c>
      <c r="C8" s="14">
        <f>140.6*0.7</f>
        <v>98.42</v>
      </c>
      <c r="D8" s="14">
        <f>140.6*0.3</f>
        <v>42.18</v>
      </c>
      <c r="E8" s="14"/>
      <c r="F8" s="14"/>
      <c r="G8" s="10">
        <f t="shared" si="0"/>
        <v>140.6</v>
      </c>
      <c r="H8" s="11" t="s">
        <v>25</v>
      </c>
      <c r="I8" s="14">
        <v>415</v>
      </c>
      <c r="J8" s="14">
        <v>3387.95180722892</v>
      </c>
      <c r="K8" s="11"/>
      <c r="L8" s="14">
        <f>[1]用工需求及劳务报酬测算表!F10+[1]用工需求及劳务报酬测算表!F11+[1]用工需求及劳务报酬测算表!F12+[1]用工需求及劳务报酬测算表!F13+[1]用工需求及劳务报酬测算表!F14</f>
        <v>67.35</v>
      </c>
      <c r="M8" s="12"/>
      <c r="N8" s="15"/>
    </row>
    <row r="9" s="1" customFormat="1" ht="25" customHeight="1" spans="1:14">
      <c r="A9" s="13">
        <v>5</v>
      </c>
      <c r="B9" s="13" t="s">
        <v>26</v>
      </c>
      <c r="C9" s="14">
        <f>8.74*0.6</f>
        <v>5.244</v>
      </c>
      <c r="D9" s="14">
        <f>8.74*0.4</f>
        <v>3.496</v>
      </c>
      <c r="E9" s="14"/>
      <c r="F9" s="14"/>
      <c r="G9" s="10">
        <f t="shared" si="0"/>
        <v>8.74</v>
      </c>
      <c r="H9" s="11" t="s">
        <v>25</v>
      </c>
      <c r="I9" s="14">
        <v>1</v>
      </c>
      <c r="J9" s="14">
        <v>87400</v>
      </c>
      <c r="K9" s="11"/>
      <c r="L9" s="14">
        <f>[1]用工需求及劳务报酬测算表!F15+[1]用工需求及劳务报酬测算表!F16+[1]用工需求及劳务报酬测算表!F17+[1]用工需求及劳务报酬测算表!F18+[1]用工需求及劳务报酬测算表!F19+[1]用工需求及劳务报酬测算表!F20</f>
        <v>3.32</v>
      </c>
      <c r="M9" s="12"/>
      <c r="N9" s="15"/>
    </row>
    <row r="10" s="1" customFormat="1" ht="25" customHeight="1" spans="1:14">
      <c r="A10" s="13">
        <v>6</v>
      </c>
      <c r="B10" s="13" t="s">
        <v>27</v>
      </c>
      <c r="C10" s="14">
        <f>22.39*0.6</f>
        <v>13.434</v>
      </c>
      <c r="D10" s="14">
        <f>22.39*0.4</f>
        <v>8.956</v>
      </c>
      <c r="E10" s="14"/>
      <c r="F10" s="14"/>
      <c r="G10" s="10">
        <f t="shared" si="0"/>
        <v>22.39</v>
      </c>
      <c r="H10" s="11" t="s">
        <v>25</v>
      </c>
      <c r="I10" s="14">
        <v>1</v>
      </c>
      <c r="J10" s="14">
        <v>223900</v>
      </c>
      <c r="K10" s="11"/>
      <c r="L10" s="14">
        <f>[1]用工需求及劳务报酬测算表!F21+[1]用工需求及劳务报酬测算表!F22+[1]用工需求及劳务报酬测算表!F23+[1]用工需求及劳务报酬测算表!F24+[1]用工需求及劳务报酬测算表!F25+[1]用工需求及劳务报酬测算表!F26</f>
        <v>8.25</v>
      </c>
      <c r="M10" s="12"/>
      <c r="N10" s="15"/>
    </row>
    <row r="11" s="1" customFormat="1" ht="25" customHeight="1" spans="1:14">
      <c r="A11" s="13">
        <v>7</v>
      </c>
      <c r="B11" s="13" t="s">
        <v>28</v>
      </c>
      <c r="C11" s="14"/>
      <c r="D11" s="14"/>
      <c r="E11" s="14"/>
      <c r="F11" s="14"/>
      <c r="G11" s="10"/>
      <c r="H11" s="11"/>
      <c r="I11" s="14"/>
      <c r="J11" s="14"/>
      <c r="K11" s="11"/>
      <c r="L11" s="14">
        <f>[1]用工需求及劳务报酬测算表!F27</f>
        <v>3.9</v>
      </c>
      <c r="M11" s="12"/>
      <c r="N11" s="15"/>
    </row>
    <row r="12" s="1" customFormat="1" ht="25" customHeight="1" spans="1:14">
      <c r="A12" s="5" t="s">
        <v>29</v>
      </c>
      <c r="B12" s="5" t="s">
        <v>30</v>
      </c>
      <c r="C12" s="10"/>
      <c r="D12" s="10"/>
      <c r="E12" s="10"/>
      <c r="F12" s="10">
        <f>F13+F14+F15+F16+F17+F18</f>
        <v>62.498825</v>
      </c>
      <c r="G12" s="10">
        <f t="shared" ref="G12:G19" si="1">F12</f>
        <v>62.498825</v>
      </c>
      <c r="H12" s="12"/>
      <c r="I12" s="12"/>
      <c r="J12" s="12"/>
      <c r="K12" s="12">
        <f>G12/998</f>
        <v>0.0626240731462926</v>
      </c>
      <c r="L12" s="5"/>
      <c r="M12" s="5"/>
      <c r="N12" s="9"/>
    </row>
    <row r="13" s="1" customFormat="1" ht="25" customHeight="1" spans="1:14">
      <c r="A13" s="13">
        <v>1</v>
      </c>
      <c r="B13" s="13" t="s">
        <v>31</v>
      </c>
      <c r="C13" s="14"/>
      <c r="D13" s="14"/>
      <c r="E13" s="14"/>
      <c r="F13" s="14">
        <f>G4*2/100*0.5</f>
        <v>9.2955</v>
      </c>
      <c r="G13" s="14">
        <f t="shared" si="1"/>
        <v>9.2955</v>
      </c>
      <c r="H13" s="11"/>
      <c r="I13" s="11"/>
      <c r="J13" s="11"/>
      <c r="K13" s="11"/>
      <c r="L13" s="5"/>
      <c r="M13" s="5"/>
      <c r="N13" s="9"/>
    </row>
    <row r="14" s="1" customFormat="1" ht="25" customHeight="1" spans="1:14">
      <c r="A14" s="13">
        <v>2</v>
      </c>
      <c r="B14" s="13" t="s">
        <v>32</v>
      </c>
      <c r="C14" s="14"/>
      <c r="D14" s="14"/>
      <c r="E14" s="14"/>
      <c r="F14" s="14">
        <f>(G4-G5-G6)*0.8/100</f>
        <v>3.0948</v>
      </c>
      <c r="G14" s="14">
        <f t="shared" si="1"/>
        <v>3.0948</v>
      </c>
      <c r="H14" s="11"/>
      <c r="I14" s="11"/>
      <c r="J14" s="11"/>
      <c r="K14" s="11"/>
      <c r="L14" s="5"/>
      <c r="M14" s="5"/>
      <c r="N14" s="9"/>
    </row>
    <row r="15" s="1" customFormat="1" ht="25" customHeight="1" spans="1:14">
      <c r="A15" s="13">
        <v>3</v>
      </c>
      <c r="B15" s="13" t="s">
        <v>33</v>
      </c>
      <c r="C15" s="14"/>
      <c r="D15" s="14"/>
      <c r="E15" s="14"/>
      <c r="F15" s="14">
        <v>24</v>
      </c>
      <c r="G15" s="14">
        <f t="shared" si="1"/>
        <v>24</v>
      </c>
      <c r="H15" s="11"/>
      <c r="I15" s="11"/>
      <c r="J15" s="11"/>
      <c r="K15" s="11"/>
      <c r="L15" s="13"/>
      <c r="M15" s="13"/>
      <c r="N15" s="15"/>
    </row>
    <row r="16" s="1" customFormat="1" ht="25" customHeight="1" spans="1:14">
      <c r="A16" s="13">
        <v>4</v>
      </c>
      <c r="B16" s="13" t="s">
        <v>34</v>
      </c>
      <c r="C16" s="14"/>
      <c r="D16" s="14"/>
      <c r="E16" s="14"/>
      <c r="F16" s="14">
        <v>16</v>
      </c>
      <c r="G16" s="14">
        <f t="shared" si="1"/>
        <v>16</v>
      </c>
      <c r="H16" s="11"/>
      <c r="I16" s="11"/>
      <c r="J16" s="11"/>
      <c r="K16" s="11"/>
      <c r="L16" s="13"/>
      <c r="M16" s="13"/>
      <c r="N16" s="15"/>
    </row>
    <row r="17" s="1" customFormat="1" ht="25" customHeight="1" spans="1:14">
      <c r="A17" s="13">
        <v>5</v>
      </c>
      <c r="B17" s="13" t="s">
        <v>35</v>
      </c>
      <c r="C17" s="14"/>
      <c r="D17" s="14"/>
      <c r="E17" s="14"/>
      <c r="F17" s="14">
        <f>3+2/1000*998</f>
        <v>4.996</v>
      </c>
      <c r="G17" s="14">
        <f t="shared" si="1"/>
        <v>4.996</v>
      </c>
      <c r="H17" s="11"/>
      <c r="I17" s="11"/>
      <c r="J17" s="11"/>
      <c r="K17" s="11"/>
      <c r="L17" s="13"/>
      <c r="M17" s="13"/>
      <c r="N17" s="15"/>
    </row>
    <row r="18" s="1" customFormat="1" ht="25" customHeight="1" spans="1:14">
      <c r="A18" s="13">
        <v>6</v>
      </c>
      <c r="B18" s="13" t="s">
        <v>36</v>
      </c>
      <c r="C18" s="14"/>
      <c r="D18" s="14"/>
      <c r="E18" s="14"/>
      <c r="F18" s="14">
        <f>G4*5.5/1000</f>
        <v>5.112525</v>
      </c>
      <c r="G18" s="14">
        <f t="shared" si="1"/>
        <v>5.112525</v>
      </c>
      <c r="H18" s="11"/>
      <c r="I18" s="11"/>
      <c r="J18" s="11"/>
      <c r="K18" s="11"/>
      <c r="L18" s="13"/>
      <c r="M18" s="13"/>
      <c r="N18" s="15"/>
    </row>
    <row r="19" s="1" customFormat="1" ht="25" customHeight="1" spans="1:14">
      <c r="A19" s="13" t="s">
        <v>37</v>
      </c>
      <c r="B19" s="13" t="s">
        <v>38</v>
      </c>
      <c r="C19" s="14"/>
      <c r="D19" s="14"/>
      <c r="E19" s="14"/>
      <c r="F19" s="14">
        <v>5.95</v>
      </c>
      <c r="G19" s="14">
        <f t="shared" si="1"/>
        <v>5.95</v>
      </c>
      <c r="H19" s="11"/>
      <c r="I19" s="11"/>
      <c r="J19" s="11"/>
      <c r="K19" s="11">
        <f>G19/998</f>
        <v>0.00596192384769539</v>
      </c>
      <c r="L19" s="13"/>
      <c r="M19" s="13"/>
      <c r="N19" s="15"/>
    </row>
    <row r="20" s="1" customFormat="1" ht="25" customHeight="1" spans="1:14">
      <c r="A20" s="16" t="s">
        <v>39</v>
      </c>
      <c r="B20" s="16"/>
      <c r="C20" s="17"/>
      <c r="D20" s="17"/>
      <c r="E20" s="17"/>
      <c r="F20" s="17"/>
      <c r="G20" s="17">
        <f>G19+G12+G4</f>
        <v>997.998825</v>
      </c>
      <c r="H20" s="18"/>
      <c r="I20" s="18"/>
      <c r="J20" s="18"/>
      <c r="K20" s="18">
        <v>1</v>
      </c>
      <c r="L20" s="16"/>
      <c r="M20" s="16"/>
      <c r="N20" s="19"/>
    </row>
  </sheetData>
  <mergeCells count="10">
    <mergeCell ref="A1:N1"/>
    <mergeCell ref="C2:G2"/>
    <mergeCell ref="H2:J2"/>
    <mergeCell ref="A20:B20"/>
    <mergeCell ref="A2:A3"/>
    <mergeCell ref="B2:B3"/>
    <mergeCell ref="K2:K3"/>
    <mergeCell ref="L2:L3"/>
    <mergeCell ref="M2:M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WPS_1601539374</cp:lastModifiedBy>
  <dcterms:created xsi:type="dcterms:W3CDTF">2026-09-24T02:46:00Z</dcterms:created>
  <dcterms:modified xsi:type="dcterms:W3CDTF">2026-09-24T08:21:13Z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951477FBFC6C4455BE96D33CAD71D57C_11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