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9.22公示\"/>
    </mc:Choice>
  </mc:AlternateContent>
  <bookViews>
    <workbookView windowWidth="28800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<sst xmlns="http://schemas.openxmlformats.org/spreadsheetml/2006/main" count="47" uniqueCount="42">
  <si>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盂县苌池镇西苌池村2026年农业农村基础设施以工代赈项目总概算表</t>
  </si>
  <si>
    <t>序号</t>
  </si>
  <si>
    <t>工程或费用名称</t>
  </si>
  <si>
    <t>概算投资（万元）</t>
  </si>
  <si>
    <t>经济技术指标</t>
  </si>
  <si>
    <t>占总投资比例（%）</t>
  </si>
  <si>
    <t>其中：劳务报酬金额（万元）</t>
  </si>
  <si>
    <t>劳务报酬占申报中央预算内资金比例（%）</t>
  </si>
  <si>
    <t>备注</t>
  </si>
  <si>
    <t>建筑工程</t>
  </si>
  <si>
    <t>安装工程</t>
  </si>
  <si>
    <t>设备购置</t>
  </si>
  <si>
    <t>其他费用</t>
  </si>
  <si>
    <t>合计</t>
  </si>
  <si>
    <t>单位</t>
  </si>
  <si>
    <t>数量</t>
  </si>
  <si>
    <t>单位造价（元）</t>
  </si>
  <si>
    <t>一</t>
  </si>
  <si>
    <t>工程费用</t>
  </si>
  <si>
    <t>街巷硬化（3.5—4米）</t>
  </si>
  <si>
    <t>㎡</t>
  </si>
  <si>
    <t>街巷硬化（1.5—3.5米）</t>
  </si>
  <si>
    <t>麻河坡面治理工程</t>
  </si>
  <si>
    <t>围墙</t>
  </si>
  <si>
    <t>m</t>
  </si>
  <si>
    <t>管网工程（
DN300主管）</t>
  </si>
  <si>
    <t>管网工程（
支管）</t>
  </si>
  <si>
    <t>管网工程（
检查井）</t>
  </si>
  <si>
    <t>个</t>
  </si>
  <si>
    <t>管网工程（
化粪池）</t>
  </si>
  <si>
    <t>特殊用工</t>
  </si>
  <si>
    <t>二</t>
  </si>
  <si>
    <t>工程建设其他费用</t>
  </si>
  <si>
    <t>建设单位管理费</t>
  </si>
  <si>
    <t>勘察费</t>
  </si>
  <si>
    <t>设计费</t>
  </si>
  <si>
    <t>监理费</t>
  </si>
  <si>
    <t>可研报告编制费</t>
  </si>
  <si>
    <t>造价咨询费</t>
  </si>
  <si>
    <t>三</t>
  </si>
  <si>
    <t>预备费</t>
  </si>
  <si>
    <t>项目总投资（一+二+三）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</si>
</sst>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华文仿宋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0" fontId="4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02;&#21457;&#25913;&#21457;&#12308;2026&#12309;34&#21495;%20&#38468;&#20214;%20&#30402;&#21439;&#33484;&#27744;&#38215;&#27010;&#3163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街道硬化"/>
      <sheetName val="设计、监理"/>
      <sheetName val="进度"/>
      <sheetName val="投资估算"/>
      <sheetName val="工程量测算"/>
      <sheetName val="用工需求及劳务报酬测算"/>
      <sheetName val="Sheet2"/>
      <sheetName val="污水管网"/>
      <sheetName val="产业路、田间路"/>
    </sheetNames>
    <sheetDataSet>
      <sheetData sheetId="0"/>
      <sheetData sheetId="1"/>
      <sheetData sheetId="2"/>
      <sheetData sheetId="3"/>
      <sheetData sheetId="4"/>
      <sheetData sheetId="5">
        <row r="3">
          <cell r="F3">
            <v>18.08</v>
          </cell>
        </row>
        <row r="4">
          <cell r="F4">
            <v>29.475</v>
          </cell>
        </row>
        <row r="5">
          <cell r="F5">
            <v>0.42</v>
          </cell>
        </row>
        <row r="6">
          <cell r="F6">
            <v>46.64</v>
          </cell>
        </row>
        <row r="7">
          <cell r="F7">
            <v>126.675</v>
          </cell>
        </row>
        <row r="8">
          <cell r="F8">
            <v>1.8</v>
          </cell>
        </row>
        <row r="9">
          <cell r="F9">
            <v>1.2</v>
          </cell>
        </row>
        <row r="10">
          <cell r="F10">
            <v>1.24</v>
          </cell>
        </row>
        <row r="11">
          <cell r="F11">
            <v>22.82</v>
          </cell>
        </row>
        <row r="12">
          <cell r="F12">
            <v>25.42</v>
          </cell>
        </row>
        <row r="13">
          <cell r="F13">
            <v>9.14</v>
          </cell>
        </row>
        <row r="14">
          <cell r="F14">
            <v>0.16</v>
          </cell>
        </row>
        <row r="15">
          <cell r="F15">
            <v>8.73</v>
          </cell>
        </row>
        <row r="16">
          <cell r="F16">
            <v>0.8</v>
          </cell>
        </row>
        <row r="17">
          <cell r="F17">
            <v>0.86</v>
          </cell>
        </row>
        <row r="18">
          <cell r="F18">
            <v>0.36</v>
          </cell>
        </row>
        <row r="19">
          <cell r="F19">
            <v>0.32</v>
          </cell>
        </row>
        <row r="20">
          <cell r="F20">
            <v>1.24</v>
          </cell>
        </row>
        <row r="21">
          <cell r="F21">
            <v>0.96</v>
          </cell>
        </row>
        <row r="22">
          <cell r="F22">
            <v>2.4</v>
          </cell>
        </row>
        <row r="23">
          <cell r="F23">
            <v>1.76</v>
          </cell>
        </row>
        <row r="24">
          <cell r="F24">
            <v>0.8</v>
          </cell>
        </row>
        <row r="25">
          <cell r="F25">
            <v>0.7</v>
          </cell>
        </row>
        <row r="26">
          <cell r="F26">
            <v>2.55</v>
          </cell>
        </row>
        <row r="27">
          <cell r="F27">
            <v>1.3</v>
          </cell>
        </row>
        <row r="28">
          <cell r="F28">
            <v>22.82</v>
          </cell>
        </row>
        <row r="29">
          <cell r="F29">
            <v>30</v>
          </cell>
        </row>
        <row r="30">
          <cell r="F30">
            <v>9.14</v>
          </cell>
        </row>
        <row r="31">
          <cell r="F31">
            <v>0.44</v>
          </cell>
        </row>
        <row r="32">
          <cell r="F32">
            <v>8.73</v>
          </cell>
        </row>
        <row r="33">
          <cell r="F33">
            <v>0.015</v>
          </cell>
        </row>
        <row r="34">
          <cell r="F34">
            <v>0.02</v>
          </cell>
        </row>
        <row r="35">
          <cell r="F35">
            <v>0.02</v>
          </cell>
        </row>
        <row r="36">
          <cell r="F36">
            <v>6.5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U6" sqref="U6"/>
    </sheetView>
  </sheetViews>
  <sheetFormatPr defaultColWidth="8.8" defaultRowHeight="14.25"/>
  <cols>
    <col min="1" max="1" width="8.8" style="1"/>
    <col min="2" max="2" width="13.1" style="1" customWidth="1"/>
    <col min="3" max="7" width="8.8" style="1"/>
    <col min="8" max="11" width="12.8" style="1"/>
    <col min="12" max="12" width="8.8" style="1"/>
    <col min="13" max="13" width="11.5" style="1"/>
    <col min="14" max="16384" width="8.8" style="1"/>
  </cols>
  <sheetData>
    <row r="1" ht="36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ht="25" customHeight="1" spans="1:14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6" t="s">
        <v>4</v>
      </c>
      <c r="I2" s="7"/>
      <c r="J2" s="8"/>
      <c r="K2" s="5" t="s">
        <v>5</v>
      </c>
      <c r="L2" s="5" t="s">
        <v>6</v>
      </c>
      <c r="M2" s="5" t="s">
        <v>7</v>
      </c>
      <c r="N2" s="9" t="s">
        <v>8</v>
      </c>
    </row>
    <row r="3" s="1" customFormat="1" ht="25" customHeight="1" spans="1:14">
      <c r="A3" s="5"/>
      <c r="B3" s="5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/>
      <c r="L3" s="5"/>
      <c r="M3" s="5"/>
      <c r="N3" s="9"/>
    </row>
    <row r="4" s="1" customFormat="1" ht="25" customHeight="1" spans="1:14">
      <c r="A4" s="5" t="s">
        <v>17</v>
      </c>
      <c r="B4" s="5" t="s">
        <v>18</v>
      </c>
      <c r="C4" s="10">
        <f>C5+C6+C7+C8+C9+C10+C11+C12</f>
        <v>704.777</v>
      </c>
      <c r="D4" s="10">
        <f>D5+D6+D7+D8+D9+D10+D11+D12</f>
        <v>179.953</v>
      </c>
      <c r="E4" s="10"/>
      <c r="F4" s="10"/>
      <c r="G4" s="10">
        <f t="shared" ref="G4:G12" si="0">D4+C4</f>
        <v>884.73</v>
      </c>
      <c r="H4" s="11"/>
      <c r="I4" s="12"/>
      <c r="J4" s="12"/>
      <c r="K4" s="11">
        <f t="shared" ref="K4:K12" si="1">G4/939.46</f>
        <v>0.941743129031571</v>
      </c>
      <c r="L4" s="10">
        <f>L5+L6+L7+L8+L9+L10+L11+L12+L13</f>
        <v>383.535</v>
      </c>
      <c r="M4" s="13">
        <f>L4/799</f>
        <v>0.480018773466834</v>
      </c>
      <c r="N4" s="9"/>
    </row>
    <row r="5" s="1" customFormat="1" ht="25" customHeight="1" spans="1:14">
      <c r="A5" s="14">
        <v>1</v>
      </c>
      <c r="B5" s="14" t="s">
        <v>19</v>
      </c>
      <c r="C5" s="12">
        <v>112.63</v>
      </c>
      <c r="D5" s="12"/>
      <c r="E5" s="12"/>
      <c r="F5" s="12"/>
      <c r="G5" s="10">
        <f t="shared" si="0"/>
        <v>112.63</v>
      </c>
      <c r="H5" s="11" t="s">
        <v>20</v>
      </c>
      <c r="I5" s="12">
        <v>6000</v>
      </c>
      <c r="J5" s="12">
        <v>187.716666666667</v>
      </c>
      <c r="K5" s="11">
        <f t="shared" si="1"/>
        <v>0.119888020777894</v>
      </c>
      <c r="L5" s="12">
        <f>[1]用工需求及劳务报酬测算!F3+[1]用工需求及劳务报酬测算!F4+[1]用工需求及劳务报酬测算!F5</f>
        <v>47.975</v>
      </c>
      <c r="M5" s="13"/>
      <c r="N5" s="15"/>
    </row>
    <row r="6" s="1" customFormat="1" ht="25" customHeight="1" spans="1:14">
      <c r="A6" s="14">
        <v>2</v>
      </c>
      <c r="B6" s="14" t="s">
        <v>21</v>
      </c>
      <c r="C6" s="12">
        <v>234.1</v>
      </c>
      <c r="D6" s="12"/>
      <c r="E6" s="12"/>
      <c r="F6" s="12"/>
      <c r="G6" s="10">
        <f t="shared" si="0"/>
        <v>234.1</v>
      </c>
      <c r="H6" s="11" t="s">
        <v>20</v>
      </c>
      <c r="I6" s="12">
        <v>15600</v>
      </c>
      <c r="J6" s="12">
        <v>150.064102564103</v>
      </c>
      <c r="K6" s="11">
        <f t="shared" si="1"/>
        <v>0.249185702424797</v>
      </c>
      <c r="L6" s="12">
        <f>[1]用工需求及劳务报酬测算!F6+[1]用工需求及劳务报酬测算!F7</f>
        <v>173.315</v>
      </c>
      <c r="M6" s="13"/>
      <c r="N6" s="15"/>
    </row>
    <row r="7" s="1" customFormat="1" ht="25" customHeight="1" spans="1:14">
      <c r="A7" s="14">
        <v>3</v>
      </c>
      <c r="B7" s="14" t="s">
        <v>22</v>
      </c>
      <c r="C7" s="12">
        <v>7.17</v>
      </c>
      <c r="D7" s="12"/>
      <c r="E7" s="12"/>
      <c r="F7" s="12"/>
      <c r="G7" s="10">
        <f t="shared" si="0"/>
        <v>7.17</v>
      </c>
      <c r="H7" s="11" t="s">
        <v>20</v>
      </c>
      <c r="I7" s="12">
        <v>845</v>
      </c>
      <c r="J7" s="12">
        <v>84.8520710059172</v>
      </c>
      <c r="K7" s="11">
        <f t="shared" si="1"/>
        <v>0.00763204394013582</v>
      </c>
      <c r="L7" s="12">
        <f>[1]用工需求及劳务报酬测算!F8+[1]用工需求及劳务报酬测算!F9</f>
        <v>3</v>
      </c>
      <c r="M7" s="13"/>
      <c r="N7" s="15"/>
    </row>
    <row r="8" s="1" customFormat="1" ht="25" customHeight="1" spans="1:14">
      <c r="A8" s="14">
        <v>4</v>
      </c>
      <c r="B8" s="14" t="s">
        <v>23</v>
      </c>
      <c r="C8" s="12">
        <v>17.32</v>
      </c>
      <c r="D8" s="12"/>
      <c r="E8" s="12"/>
      <c r="F8" s="12"/>
      <c r="G8" s="10">
        <f t="shared" si="0"/>
        <v>17.32</v>
      </c>
      <c r="H8" s="11" t="s">
        <v>24</v>
      </c>
      <c r="I8" s="12">
        <v>160</v>
      </c>
      <c r="J8" s="12">
        <v>1082.5</v>
      </c>
      <c r="K8" s="11">
        <f t="shared" si="1"/>
        <v>0.0184361228791008</v>
      </c>
      <c r="L8" s="12">
        <f>[1]用工需求及劳务报酬测算!F10+[1]用工需求及劳务报酬测算!F11+[1]用工需求及劳务报酬测算!F12+[1]用工需求及劳务报酬测算!F13+[1]用工需求及劳务报酬测算!F14+[1]用工需求及劳务报酬测算!F15</f>
        <v>67.51</v>
      </c>
      <c r="M8" s="13"/>
      <c r="N8" s="15"/>
    </row>
    <row r="9" s="1" customFormat="1" ht="25" customHeight="1" spans="1:14">
      <c r="A9" s="14">
        <v>5</v>
      </c>
      <c r="B9" s="14" t="s">
        <v>25</v>
      </c>
      <c r="C9" s="12">
        <f>252.36*0.6</f>
        <v>151.416</v>
      </c>
      <c r="D9" s="12">
        <f>252.36*0.4</f>
        <v>100.944</v>
      </c>
      <c r="E9" s="12"/>
      <c r="F9" s="12"/>
      <c r="G9" s="10">
        <f t="shared" si="0"/>
        <v>252.36</v>
      </c>
      <c r="H9" s="11" t="s">
        <v>24</v>
      </c>
      <c r="I9" s="12">
        <v>7368</v>
      </c>
      <c r="J9" s="12">
        <v>342.508143322476</v>
      </c>
      <c r="K9" s="11">
        <f t="shared" si="1"/>
        <v>0.268622400102186</v>
      </c>
      <c r="L9" s="12">
        <f>[1]用工需求及劳务报酬测算!F16+[1]用工需求及劳务报酬测算!F17+[1]用工需求及劳务报酬测算!F18+[1]用工需求及劳务报酬测算!F19+[1]用工需求及劳务报酬测算!F20+[1]用工需求及劳务报酬测算!F21</f>
        <v>4.54</v>
      </c>
      <c r="M9" s="13"/>
      <c r="N9" s="15"/>
    </row>
    <row r="10" s="1" customFormat="1" ht="25" customHeight="1" spans="1:14">
      <c r="A10" s="14">
        <v>6</v>
      </c>
      <c r="B10" s="14" t="s">
        <v>26</v>
      </c>
      <c r="C10" s="12">
        <f>88.62*0.7</f>
        <v>62.034</v>
      </c>
      <c r="D10" s="12">
        <f>88.62*0.3</f>
        <v>26.586</v>
      </c>
      <c r="E10" s="12"/>
      <c r="F10" s="12"/>
      <c r="G10" s="10">
        <f t="shared" si="0"/>
        <v>88.62</v>
      </c>
      <c r="H10" s="11" t="s">
        <v>24</v>
      </c>
      <c r="I10" s="12">
        <v>4960</v>
      </c>
      <c r="J10" s="12">
        <v>178.66935483871</v>
      </c>
      <c r="K10" s="11">
        <f t="shared" si="1"/>
        <v>0.094330785770549</v>
      </c>
      <c r="L10" s="12">
        <f>[1]用工需求及劳务报酬测算!F22+[1]用工需求及劳务报酬测算!F23+[1]用工需求及劳务报酬测算!F24+[1]用工需求及劳务报酬测算!F25+[1]用工需求及劳务报酬测算!F26</f>
        <v>8.21</v>
      </c>
      <c r="M10" s="13"/>
      <c r="N10" s="15"/>
    </row>
    <row r="11" s="1" customFormat="1" ht="25" customHeight="1" spans="1:14">
      <c r="A11" s="14">
        <v>7</v>
      </c>
      <c r="B11" s="14" t="s">
        <v>27</v>
      </c>
      <c r="C11" s="12">
        <f>171.41*0.7</f>
        <v>119.987</v>
      </c>
      <c r="D11" s="12">
        <f>171.41*0.3</f>
        <v>51.423</v>
      </c>
      <c r="E11" s="12"/>
      <c r="F11" s="12"/>
      <c r="G11" s="10">
        <f t="shared" si="0"/>
        <v>171.41</v>
      </c>
      <c r="H11" s="11" t="s">
        <v>28</v>
      </c>
      <c r="I11" s="12">
        <v>501</v>
      </c>
      <c r="J11" s="12">
        <v>3421.35728542914</v>
      </c>
      <c r="K11" s="11">
        <f t="shared" si="1"/>
        <v>0.182455878909161</v>
      </c>
      <c r="L11" s="12">
        <f>[1]用工需求及劳务报酬测算!F27+[1]用工需求及劳务报酬测算!F28+[1]用工需求及劳务报酬测算!F29+[1]用工需求及劳务报酬测算!F30+[1]用工需求及劳务报酬测算!F31+[1]用工需求及劳务报酬测算!F32</f>
        <v>72.43</v>
      </c>
      <c r="M11" s="13"/>
      <c r="N11" s="15"/>
    </row>
    <row r="12" s="1" customFormat="1" ht="25" customHeight="1" spans="1:14">
      <c r="A12" s="14">
        <v>8</v>
      </c>
      <c r="B12" s="14" t="s">
        <v>29</v>
      </c>
      <c r="C12" s="12">
        <v>0.12</v>
      </c>
      <c r="D12" s="12">
        <v>1</v>
      </c>
      <c r="E12" s="12"/>
      <c r="F12" s="12"/>
      <c r="G12" s="10">
        <f t="shared" si="0"/>
        <v>1.12</v>
      </c>
      <c r="H12" s="11" t="s">
        <v>28</v>
      </c>
      <c r="I12" s="12">
        <v>1</v>
      </c>
      <c r="J12" s="12">
        <v>11200</v>
      </c>
      <c r="K12" s="11">
        <f t="shared" si="1"/>
        <v>0.00119217422774786</v>
      </c>
      <c r="L12" s="12">
        <f>[1]用工需求及劳务报酬测算!F33+[1]用工需求及劳务报酬测算!F34+[1]用工需求及劳务报酬测算!F35</f>
        <v>0.055</v>
      </c>
      <c r="M12" s="13"/>
      <c r="N12" s="15"/>
    </row>
    <row r="13" s="1" customFormat="1" ht="25" customHeight="1" spans="1:14">
      <c r="A13" s="14">
        <v>9</v>
      </c>
      <c r="B13" s="14" t="s">
        <v>30</v>
      </c>
      <c r="C13" s="12"/>
      <c r="D13" s="12"/>
      <c r="E13" s="12"/>
      <c r="F13" s="12"/>
      <c r="G13" s="10"/>
      <c r="H13" s="11"/>
      <c r="I13" s="11"/>
      <c r="J13" s="11"/>
      <c r="K13" s="11"/>
      <c r="L13" s="12">
        <f>[1]用工需求及劳务报酬测算!F36</f>
        <v>6.5</v>
      </c>
      <c r="M13" s="13"/>
      <c r="N13" s="15"/>
    </row>
    <row r="14" s="1" customFormat="1" ht="25" customHeight="1" spans="1:14">
      <c r="A14" s="5" t="s">
        <v>31</v>
      </c>
      <c r="B14" s="5" t="s">
        <v>32</v>
      </c>
      <c r="C14" s="10"/>
      <c r="D14" s="10"/>
      <c r="E14" s="10"/>
      <c r="F14" s="10">
        <v>52.73</v>
      </c>
      <c r="G14" s="10">
        <f t="shared" ref="G14:G21" si="2">F14</f>
        <v>52.73</v>
      </c>
      <c r="H14" s="11"/>
      <c r="I14" s="11"/>
      <c r="J14" s="11"/>
      <c r="K14" s="11">
        <f t="shared" ref="K14:K22" si="3">G14/939.46</f>
        <v>0.0561279884188789</v>
      </c>
      <c r="L14" s="5"/>
      <c r="M14" s="5"/>
      <c r="N14" s="9"/>
    </row>
    <row r="15" s="1" customFormat="1" ht="25" customHeight="1" spans="1:14">
      <c r="A15" s="14">
        <v>1</v>
      </c>
      <c r="B15" s="14" t="s">
        <v>33</v>
      </c>
      <c r="C15" s="12"/>
      <c r="D15" s="12"/>
      <c r="E15" s="12"/>
      <c r="F15" s="12">
        <f>G4*2/100*0.5</f>
        <v>8.8473</v>
      </c>
      <c r="G15" s="12">
        <f t="shared" si="2"/>
        <v>8.8473</v>
      </c>
      <c r="H15" s="11"/>
      <c r="I15" s="11"/>
      <c r="J15" s="11"/>
      <c r="K15" s="11">
        <f t="shared" si="3"/>
        <v>0.00941743129031571</v>
      </c>
      <c r="L15" s="5"/>
      <c r="M15" s="5"/>
      <c r="N15" s="9"/>
    </row>
    <row r="16" s="1" customFormat="1" ht="25" customHeight="1" spans="1:14">
      <c r="A16" s="14">
        <v>2</v>
      </c>
      <c r="B16" s="14" t="s">
        <v>34</v>
      </c>
      <c r="C16" s="12"/>
      <c r="D16" s="12"/>
      <c r="E16" s="12"/>
      <c r="F16" s="12">
        <f>G9*0.8/100+G11*0.8/100</f>
        <v>3.39016</v>
      </c>
      <c r="G16" s="12">
        <f t="shared" si="2"/>
        <v>3.39016</v>
      </c>
      <c r="H16" s="11"/>
      <c r="I16" s="11"/>
      <c r="J16" s="11"/>
      <c r="K16" s="11">
        <f t="shared" si="3"/>
        <v>0.00360862623209078</v>
      </c>
      <c r="L16" s="5"/>
      <c r="M16" s="5"/>
      <c r="N16" s="9"/>
    </row>
    <row r="17" s="1" customFormat="1" ht="25" customHeight="1" spans="1:14">
      <c r="A17" s="14">
        <v>3</v>
      </c>
      <c r="B17" s="14" t="s">
        <v>35</v>
      </c>
      <c r="C17" s="12"/>
      <c r="D17" s="12"/>
      <c r="E17" s="12"/>
      <c r="F17" s="12">
        <v>19.5</v>
      </c>
      <c r="G17" s="12">
        <f t="shared" si="2"/>
        <v>19.5</v>
      </c>
      <c r="H17" s="11"/>
      <c r="I17" s="11"/>
      <c r="J17" s="11"/>
      <c r="K17" s="11">
        <f t="shared" si="3"/>
        <v>0.02075660485811</v>
      </c>
      <c r="L17" s="14"/>
      <c r="M17" s="14"/>
      <c r="N17" s="15"/>
    </row>
    <row r="18" s="1" customFormat="1" ht="25" customHeight="1" spans="1:14">
      <c r="A18" s="14">
        <v>4</v>
      </c>
      <c r="B18" s="14" t="s">
        <v>36</v>
      </c>
      <c r="C18" s="12"/>
      <c r="D18" s="12"/>
      <c r="E18" s="12"/>
      <c r="F18" s="12">
        <v>11.12</v>
      </c>
      <c r="G18" s="12">
        <f t="shared" si="2"/>
        <v>11.12</v>
      </c>
      <c r="H18" s="11"/>
      <c r="I18" s="11"/>
      <c r="J18" s="11"/>
      <c r="K18" s="11">
        <f t="shared" si="3"/>
        <v>0.0118365869754966</v>
      </c>
      <c r="L18" s="14"/>
      <c r="M18" s="14"/>
      <c r="N18" s="15"/>
    </row>
    <row r="19" s="1" customFormat="1" ht="25" customHeight="1" spans="1:14">
      <c r="A19" s="14">
        <v>5</v>
      </c>
      <c r="B19" s="14" t="s">
        <v>37</v>
      </c>
      <c r="C19" s="12"/>
      <c r="D19" s="12"/>
      <c r="E19" s="12"/>
      <c r="F19" s="12">
        <f>3+2/1000*998</f>
        <v>4.996</v>
      </c>
      <c r="G19" s="12">
        <f t="shared" si="2"/>
        <v>4.996</v>
      </c>
      <c r="H19" s="11"/>
      <c r="I19" s="11"/>
      <c r="J19" s="11"/>
      <c r="K19" s="11">
        <f t="shared" si="3"/>
        <v>0.00531794860877525</v>
      </c>
      <c r="L19" s="14"/>
      <c r="M19" s="14"/>
      <c r="N19" s="15"/>
    </row>
    <row r="20" s="1" customFormat="1" ht="25" customHeight="1" spans="1:14">
      <c r="A20" s="14">
        <v>6</v>
      </c>
      <c r="B20" s="14" t="s">
        <v>38</v>
      </c>
      <c r="C20" s="12"/>
      <c r="D20" s="12"/>
      <c r="E20" s="12"/>
      <c r="F20" s="12">
        <f>G4*5.5/1000</f>
        <v>4.866015</v>
      </c>
      <c r="G20" s="12">
        <f t="shared" si="2"/>
        <v>4.866015</v>
      </c>
      <c r="H20" s="11"/>
      <c r="I20" s="11"/>
      <c r="J20" s="11"/>
      <c r="K20" s="11">
        <f t="shared" si="3"/>
        <v>0.00517958720967364</v>
      </c>
      <c r="L20" s="14"/>
      <c r="M20" s="14"/>
      <c r="N20" s="15"/>
    </row>
    <row r="21" s="1" customFormat="1" ht="25" customHeight="1" spans="1:14">
      <c r="A21" s="14" t="s">
        <v>39</v>
      </c>
      <c r="B21" s="14" t="s">
        <v>40</v>
      </c>
      <c r="C21" s="12"/>
      <c r="D21" s="12"/>
      <c r="E21" s="12"/>
      <c r="F21" s="12">
        <v>2</v>
      </c>
      <c r="G21" s="10">
        <f t="shared" si="2"/>
        <v>2</v>
      </c>
      <c r="H21" s="11"/>
      <c r="I21" s="11"/>
      <c r="J21" s="11"/>
      <c r="K21" s="11">
        <f t="shared" si="3"/>
        <v>0.00212888254954974</v>
      </c>
      <c r="L21" s="14"/>
      <c r="M21" s="14"/>
      <c r="N21" s="15"/>
    </row>
    <row r="22" s="1" customFormat="1" ht="25" customHeight="1" spans="1:14">
      <c r="A22" s="16" t="s">
        <v>41</v>
      </c>
      <c r="B22" s="16"/>
      <c r="C22" s="17"/>
      <c r="D22" s="17"/>
      <c r="E22" s="17"/>
      <c r="F22" s="17"/>
      <c r="G22" s="17">
        <f>G21+G14+G4</f>
        <v>939.46</v>
      </c>
      <c r="H22" s="18"/>
      <c r="I22" s="18"/>
      <c r="J22" s="18"/>
      <c r="K22" s="11">
        <f t="shared" si="3"/>
        <v>1</v>
      </c>
      <c r="L22" s="16"/>
      <c r="M22" s="16"/>
      <c r="N22" s="19"/>
    </row>
  </sheetData>
  <mergeCells count="10">
    <mergeCell ref="A1:N1"/>
    <mergeCell ref="C2:G2"/>
    <mergeCell ref="H2:J2"/>
    <mergeCell ref="A22:B22"/>
    <mergeCell ref="A2:A3"/>
    <mergeCell ref="B2:B3"/>
    <mergeCell ref="K2:K3"/>
    <mergeCell ref="L2:L3"/>
    <mergeCell ref="M2:M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WPS_1601539374</cp:lastModifiedBy>
  <dcterms:created xsi:type="dcterms:W3CDTF">2026-09-24T02:41:00Z</dcterms:created>
  <dcterms:modified xsi:type="dcterms:W3CDTF">2026-09-24T08:13:35Z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6345CC10164448B2B9B5AF067C74CA9C_11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